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tabRatio="516" activeTab="1"/>
  </bookViews>
  <sheets>
    <sheet name="DATOS" sheetId="1" r:id="rId1"/>
    <sheet name="FORMULA#3" sheetId="2" r:id="rId2"/>
  </sheets>
  <definedNames>
    <definedName name="datos">'DATOS'!$A$7:$C$26</definedName>
    <definedName name="PRESUPUESTO">'DATOS'!$A$4:$C$4</definedName>
  </definedNames>
  <calcPr fullCalcOnLoad="1"/>
</workbook>
</file>

<file path=xl/comments1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sharedStrings.xml><?xml version="1.0" encoding="utf-8"?>
<sst xmlns="http://schemas.openxmlformats.org/spreadsheetml/2006/main" count="67" uniqueCount="47">
  <si>
    <t>PROPONENTES</t>
  </si>
  <si>
    <t>VALOR DE LA PROPUESTA TOTAL</t>
  </si>
  <si>
    <t>PRESUPUESTO OFICIAL</t>
  </si>
  <si>
    <t>RANGO ADMISIBLE</t>
  </si>
  <si>
    <t>SI</t>
  </si>
  <si>
    <t>NO</t>
  </si>
  <si>
    <t>VALORES ADMISIBLES</t>
  </si>
  <si>
    <t>NÚMERO DE PROPONENTES</t>
  </si>
  <si>
    <t>EVALUACIÓN</t>
  </si>
  <si>
    <t>Factor Multiplicador y correcto diligenciamiento del formulario</t>
  </si>
  <si>
    <t>Valor en el rango admisible</t>
  </si>
  <si>
    <t>ADMISIBLE PARA LA EVALUACIÓN</t>
  </si>
  <si>
    <t xml:space="preserve">FORMULA #3 MEDIA ARITMÉTICA </t>
  </si>
  <si>
    <t>MEDIA ARITMÉTICA INICIAL M</t>
  </si>
  <si>
    <t>MEDIA ARITMÉTICA FINAL Mf</t>
  </si>
  <si>
    <t>DISCREPANSIA</t>
  </si>
  <si>
    <t>VALOR BASICO DE LA PROPUESTA</t>
  </si>
  <si>
    <t>UNIVERSIDAD DEL CAUCA</t>
  </si>
  <si>
    <t>No.</t>
  </si>
  <si>
    <t>COMENTARIO IMPORTANTE</t>
  </si>
  <si>
    <t>PROGRAMADORES_</t>
  </si>
  <si>
    <t>JUAN PABLO MELO ORTIZ</t>
  </si>
  <si>
    <t>NIKANDRO MUÑOZ</t>
  </si>
  <si>
    <t>PRESUPUESTO OFICIAL ANTES DE IVA</t>
  </si>
  <si>
    <t>LENIN TITO MENDOZA</t>
  </si>
  <si>
    <t>LUIS VALLEJO OCAMPO</t>
  </si>
  <si>
    <t>YAMIL FABIAN HAMDANN</t>
  </si>
  <si>
    <t>BERNARDO JOSE GOMEZ</t>
  </si>
  <si>
    <t>CARLOS ALBERTO PALTA</t>
  </si>
  <si>
    <t>JOSE GREGORIO MENDEZ</t>
  </si>
  <si>
    <t>CARLOSMANUEL VELASCO</t>
  </si>
  <si>
    <t>ELIO JOSE LOMBANA</t>
  </si>
  <si>
    <t>CONSORCIO HEGA</t>
  </si>
  <si>
    <t>MARIA EUGENIA TRUJILLO</t>
  </si>
  <si>
    <t>EDGAR ARMANDO SALAZAR</t>
  </si>
  <si>
    <t>LUIS EDUARDO ORDOÑEZ</t>
  </si>
  <si>
    <t>IDER NOGUERA MONTILLA</t>
  </si>
  <si>
    <t>MADECONS S.A</t>
  </si>
  <si>
    <t>JAIRO EDUARDO MUÑOZ</t>
  </si>
  <si>
    <t>ZENAIDA SANTANDER</t>
  </si>
  <si>
    <t>HENRY ARCE ARAGON</t>
  </si>
  <si>
    <t>VICERRECTORIA ADMINISTRATIVA</t>
  </si>
  <si>
    <t>APLICACIÓN DE LA FORMULA No.  1</t>
  </si>
  <si>
    <t>No. GANADOR</t>
  </si>
  <si>
    <t>Popayán, diciembre 13 de 2010</t>
  </si>
  <si>
    <r>
      <t xml:space="preserve">INVITACIÓN A COTIZAR  </t>
    </r>
    <r>
      <rPr>
        <b/>
        <sz val="9"/>
        <rFont val="Tahoma"/>
        <family val="2"/>
      </rPr>
      <t>No. 066</t>
    </r>
    <r>
      <rPr>
        <b/>
        <sz val="9"/>
        <color indexed="8"/>
        <rFont val="Tahoma"/>
        <family val="2"/>
      </rPr>
      <t xml:space="preserve"> DE  2010</t>
    </r>
  </si>
  <si>
    <t>OBRA CIVIL A TODO COSTO PARA LA REPARACION DE CUBIERTAS EN EL EDIFICIO DE INGENIERIAS DE LA UNIVERSIDAD DEL CAUCA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</si>
</sst>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_(* #,##0_);_(* \(#,##0\);_(* &quot;-&quot;??_);_(@_)"/>
    <numFmt numFmtId="182" formatCode="[$$-500A]#,##0.00"/>
    <numFmt numFmtId="183" formatCode="[$$-500A]\ #,##0.00"/>
    <numFmt numFmtId="184" formatCode="[$$-240A]\ #,##0.000"/>
    <numFmt numFmtId="185" formatCode="0.0000"/>
    <numFmt numFmtId="186" formatCode="_(* #,##0.000_);_(* \(#,##0.000\);_(* &quot;-&quot;??_);_(@_)"/>
    <numFmt numFmtId="187" formatCode="_(* #,##0.0_);_(* \(#,##0.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_(* #,##0.000000000000_);_(* \(#,##0.000000000000\);_(* &quot;-&quot;??_);_(@_)"/>
    <numFmt numFmtId="197" formatCode="_(* #,##0.0000000000000_);_(* \(#,##0.0000000000000\);_(* &quot;-&quot;??_);_(@_)"/>
    <numFmt numFmtId="198" formatCode="_(* #,##0.00000000000000_);_(* \(#,##0.00000000000000\);_(* &quot;-&quot;??_);_(@_)"/>
    <numFmt numFmtId="199" formatCode="0.000000"/>
    <numFmt numFmtId="200" formatCode="0.00000"/>
    <numFmt numFmtId="201" formatCode="[$$-240A]\ #.##0.000"/>
    <numFmt numFmtId="202" formatCode="0.0"/>
    <numFmt numFmtId="203" formatCode="[$$-240A]\ #,##0.0000"/>
    <numFmt numFmtId="204" formatCode="[$$-240A]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lgerian"/>
      <family val="5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Informal Roman"/>
      <family val="4"/>
    </font>
    <font>
      <sz val="8"/>
      <name val="Calibri"/>
      <family val="2"/>
    </font>
    <font>
      <b/>
      <sz val="10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33" borderId="0" xfId="0" applyNumberFormat="1" applyFill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7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84" fontId="0" fillId="0" borderId="0" xfId="0" applyNumberFormat="1" applyAlignment="1">
      <alignment horizontal="center" vertical="center" wrapText="1"/>
    </xf>
    <xf numFmtId="0" fontId="0" fillId="36" borderId="10" xfId="0" applyFill="1" applyBorder="1" applyAlignment="1">
      <alignment/>
    </xf>
    <xf numFmtId="184" fontId="0" fillId="0" borderId="10" xfId="0" applyNumberFormat="1" applyFill="1" applyBorder="1" applyAlignment="1">
      <alignment horizontal="center"/>
    </xf>
    <xf numFmtId="184" fontId="8" fillId="38" borderId="10" xfId="0" applyNumberFormat="1" applyFont="1" applyFill="1" applyBorder="1" applyAlignment="1">
      <alignment horizontal="right"/>
    </xf>
    <xf numFmtId="0" fontId="8" fillId="38" borderId="14" xfId="0" applyFont="1" applyFill="1" applyBorder="1" applyAlignment="1">
      <alignment/>
    </xf>
    <xf numFmtId="180" fontId="0" fillId="37" borderId="0" xfId="0" applyNumberFormat="1" applyFill="1" applyAlignment="1">
      <alignment horizontal="center"/>
    </xf>
    <xf numFmtId="0" fontId="0" fillId="38" borderId="14" xfId="0" applyFill="1" applyBorder="1" applyAlignment="1">
      <alignment/>
    </xf>
    <xf numFmtId="0" fontId="0" fillId="38" borderId="11" xfId="0" applyFill="1" applyBorder="1" applyAlignment="1">
      <alignment/>
    </xf>
    <xf numFmtId="204" fontId="0" fillId="38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84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0" fontId="15" fillId="39" borderId="10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184" fontId="0" fillId="0" borderId="13" xfId="0" applyNumberFormat="1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40" borderId="18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10" fillId="34" borderId="10" xfId="0" applyFont="1" applyFill="1" applyBorder="1" applyAlignment="1">
      <alignment horizontal="left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76200</xdr:rowOff>
    </xdr:from>
    <xdr:to>
      <xdr:col>5</xdr:col>
      <xdr:colOff>1790700</xdr:colOff>
      <xdr:row>16</xdr:row>
      <xdr:rowOff>171450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23900"/>
          <a:ext cx="27813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="120" zoomScaleNormal="120" zoomScalePageLayoutView="0" workbookViewId="0" topLeftCell="B4">
      <selection activeCell="A9" sqref="A9"/>
    </sheetView>
  </sheetViews>
  <sheetFormatPr defaultColWidth="11.421875" defaultRowHeight="15"/>
  <cols>
    <col min="1" max="1" width="7.7109375" style="0" customWidth="1"/>
    <col min="2" max="2" width="37.140625" style="0" customWidth="1"/>
    <col min="3" max="3" width="19.421875" style="0" customWidth="1"/>
    <col min="4" max="4" width="6.8515625" style="0" customWidth="1"/>
    <col min="5" max="5" width="16.140625" style="0" customWidth="1"/>
    <col min="6" max="6" width="28.00390625" style="0" customWidth="1"/>
  </cols>
  <sheetData>
    <row r="1" spans="1:6" ht="36" customHeight="1">
      <c r="A1" s="54" t="s">
        <v>17</v>
      </c>
      <c r="B1" s="55"/>
      <c r="C1" s="55"/>
      <c r="D1" s="55"/>
      <c r="E1" s="55"/>
      <c r="F1" s="56"/>
    </row>
    <row r="3" spans="1:6" ht="24" customHeight="1">
      <c r="A3" s="57" t="s">
        <v>19</v>
      </c>
      <c r="B3" s="57"/>
      <c r="E3" s="58"/>
      <c r="F3" s="58"/>
    </row>
    <row r="4" spans="1:6" ht="25.5" customHeight="1">
      <c r="A4" s="4">
        <v>1</v>
      </c>
      <c r="B4" s="4" t="s">
        <v>23</v>
      </c>
      <c r="C4" s="21">
        <v>119236883</v>
      </c>
      <c r="E4" s="58"/>
      <c r="F4" s="58"/>
    </row>
    <row r="5" spans="5:6" ht="15">
      <c r="E5" s="58"/>
      <c r="F5" s="58"/>
    </row>
    <row r="6" spans="1:6" ht="45">
      <c r="A6" s="4" t="s">
        <v>18</v>
      </c>
      <c r="B6" s="4" t="s">
        <v>0</v>
      </c>
      <c r="C6" s="11" t="s">
        <v>16</v>
      </c>
      <c r="E6" s="58"/>
      <c r="F6" s="58"/>
    </row>
    <row r="7" spans="1:6" ht="15">
      <c r="A7" s="9">
        <v>1</v>
      </c>
      <c r="B7" s="17" t="s">
        <v>24</v>
      </c>
      <c r="C7" s="16">
        <v>117257925</v>
      </c>
      <c r="E7" s="58"/>
      <c r="F7" s="58"/>
    </row>
    <row r="8" spans="1:6" ht="15">
      <c r="A8" s="9">
        <v>2</v>
      </c>
      <c r="B8" s="17" t="s">
        <v>25</v>
      </c>
      <c r="C8" s="16">
        <v>118600000</v>
      </c>
      <c r="E8" s="58"/>
      <c r="F8" s="58"/>
    </row>
    <row r="9" spans="1:6" ht="15">
      <c r="A9" s="9">
        <v>3</v>
      </c>
      <c r="B9" s="17" t="s">
        <v>26</v>
      </c>
      <c r="C9" s="16">
        <v>118798349</v>
      </c>
      <c r="E9" s="58"/>
      <c r="F9" s="58"/>
    </row>
    <row r="10" spans="1:6" ht="15">
      <c r="A10" s="9">
        <v>4</v>
      </c>
      <c r="B10" s="17" t="s">
        <v>27</v>
      </c>
      <c r="C10" s="16">
        <v>118392875</v>
      </c>
      <c r="E10" s="58"/>
      <c r="F10" s="58"/>
    </row>
    <row r="11" spans="1:6" ht="15">
      <c r="A11" s="9">
        <v>5</v>
      </c>
      <c r="B11" s="17" t="s">
        <v>28</v>
      </c>
      <c r="C11" s="16">
        <v>117019188</v>
      </c>
      <c r="E11" s="58"/>
      <c r="F11" s="58"/>
    </row>
    <row r="12" spans="1:6" ht="15">
      <c r="A12" s="9">
        <v>6</v>
      </c>
      <c r="B12" s="17" t="s">
        <v>29</v>
      </c>
      <c r="C12" s="16">
        <v>118404289</v>
      </c>
      <c r="E12" s="58"/>
      <c r="F12" s="58"/>
    </row>
    <row r="13" spans="1:6" ht="15">
      <c r="A13" s="9">
        <v>7</v>
      </c>
      <c r="B13" s="17" t="s">
        <v>30</v>
      </c>
      <c r="C13" s="16">
        <v>118225750</v>
      </c>
      <c r="E13" s="58"/>
      <c r="F13" s="58"/>
    </row>
    <row r="14" spans="1:6" ht="15">
      <c r="A14" s="9">
        <v>8</v>
      </c>
      <c r="B14" s="17" t="s">
        <v>31</v>
      </c>
      <c r="C14" s="16">
        <v>118769103</v>
      </c>
      <c r="E14" s="58"/>
      <c r="F14" s="58"/>
    </row>
    <row r="15" spans="1:6" ht="15">
      <c r="A15" s="9">
        <v>9</v>
      </c>
      <c r="B15" s="17" t="s">
        <v>32</v>
      </c>
      <c r="C15" s="16">
        <v>118096179</v>
      </c>
      <c r="E15" s="58"/>
      <c r="F15" s="58"/>
    </row>
    <row r="16" spans="1:6" ht="15">
      <c r="A16" s="9">
        <v>10</v>
      </c>
      <c r="B16" s="17" t="s">
        <v>33</v>
      </c>
      <c r="C16" s="16">
        <v>119184888</v>
      </c>
      <c r="E16" s="58"/>
      <c r="F16" s="58"/>
    </row>
    <row r="17" spans="1:6" ht="15">
      <c r="A17" s="9">
        <v>11</v>
      </c>
      <c r="B17" s="17" t="s">
        <v>34</v>
      </c>
      <c r="C17" s="16">
        <v>118807630</v>
      </c>
      <c r="E17" s="58"/>
      <c r="F17" s="58"/>
    </row>
    <row r="18" spans="1:3" ht="15">
      <c r="A18" s="9">
        <v>12</v>
      </c>
      <c r="B18" s="17" t="s">
        <v>35</v>
      </c>
      <c r="C18" s="16">
        <v>117653417</v>
      </c>
    </row>
    <row r="19" spans="1:6" ht="16.5">
      <c r="A19" s="9">
        <v>13</v>
      </c>
      <c r="B19" s="17" t="s">
        <v>36</v>
      </c>
      <c r="C19" s="16">
        <v>118343683</v>
      </c>
      <c r="E19" s="59" t="s">
        <v>20</v>
      </c>
      <c r="F19" s="59"/>
    </row>
    <row r="20" spans="1:6" ht="15">
      <c r="A20" s="9">
        <v>14</v>
      </c>
      <c r="B20" s="17" t="s">
        <v>37</v>
      </c>
      <c r="C20" s="16">
        <v>117230264</v>
      </c>
      <c r="E20" s="53" t="s">
        <v>21</v>
      </c>
      <c r="F20" s="53"/>
    </row>
    <row r="21" spans="1:6" ht="15">
      <c r="A21" s="9">
        <v>15</v>
      </c>
      <c r="B21" s="17" t="s">
        <v>38</v>
      </c>
      <c r="C21" s="16">
        <v>118336090</v>
      </c>
      <c r="E21" s="53"/>
      <c r="F21" s="53"/>
    </row>
    <row r="22" spans="1:6" ht="15">
      <c r="A22" s="9">
        <v>16</v>
      </c>
      <c r="B22" s="19" t="s">
        <v>39</v>
      </c>
      <c r="C22" s="16">
        <v>118319163</v>
      </c>
      <c r="E22" s="53" t="s">
        <v>22</v>
      </c>
      <c r="F22" s="53"/>
    </row>
    <row r="23" spans="1:6" ht="15">
      <c r="A23" s="9">
        <v>17</v>
      </c>
      <c r="B23" s="19" t="s">
        <v>40</v>
      </c>
      <c r="C23" s="16">
        <v>118823145</v>
      </c>
      <c r="E23" s="53"/>
      <c r="F23" s="53"/>
    </row>
    <row r="24" spans="1:6" ht="15">
      <c r="A24" s="9">
        <v>18</v>
      </c>
      <c r="B24" s="20">
        <v>0</v>
      </c>
      <c r="C24" s="16">
        <v>0</v>
      </c>
      <c r="E24" s="7"/>
      <c r="F24" s="7"/>
    </row>
    <row r="25" spans="1:6" ht="15">
      <c r="A25" s="9">
        <v>19</v>
      </c>
      <c r="B25" s="20">
        <v>0</v>
      </c>
      <c r="C25" s="16">
        <v>0</v>
      </c>
      <c r="E25" s="7"/>
      <c r="F25" s="7"/>
    </row>
    <row r="26" spans="1:3" ht="15">
      <c r="A26" s="9">
        <v>20</v>
      </c>
      <c r="B26" s="20">
        <v>0</v>
      </c>
      <c r="C26" s="16">
        <v>0</v>
      </c>
    </row>
  </sheetData>
  <sheetProtection/>
  <mergeCells count="6">
    <mergeCell ref="E20:F21"/>
    <mergeCell ref="E22:F23"/>
    <mergeCell ref="A1:F1"/>
    <mergeCell ref="A3:B3"/>
    <mergeCell ref="E3:F17"/>
    <mergeCell ref="E19:F1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J38" sqref="J37:J38"/>
    </sheetView>
  </sheetViews>
  <sheetFormatPr defaultColWidth="11.421875" defaultRowHeight="15" outlineLevelCol="1"/>
  <cols>
    <col min="1" max="1" width="8.8515625" style="0" customWidth="1"/>
    <col min="2" max="2" width="35.140625" style="0" customWidth="1"/>
    <col min="3" max="3" width="19.8515625" style="0" customWidth="1"/>
    <col min="4" max="4" width="19.421875" style="0" customWidth="1"/>
    <col min="5" max="5" width="12.421875" style="0" customWidth="1"/>
    <col min="7" max="7" width="20.28125" style="0" hidden="1" customWidth="1" outlineLevel="1"/>
    <col min="8" max="9" width="18.28125" style="0" hidden="1" customWidth="1" outlineLevel="1"/>
    <col min="10" max="10" width="17.00390625" style="0" customWidth="1" collapsed="1"/>
    <col min="11" max="11" width="15.8515625" style="0" customWidth="1"/>
    <col min="12" max="12" width="11.8515625" style="0" hidden="1" customWidth="1" outlineLevel="1"/>
    <col min="13" max="14" width="11.57421875" style="0" hidden="1" customWidth="1" outlineLevel="1"/>
    <col min="15" max="15" width="0.5625" style="0" hidden="1" customWidth="1" outlineLevel="1"/>
    <col min="16" max="16" width="2.7109375" style="0" customWidth="1" collapsed="1"/>
    <col min="17" max="18" width="2.7109375" style="0" customWidth="1"/>
    <col min="19" max="19" width="3.00390625" style="0" customWidth="1"/>
  </cols>
  <sheetData>
    <row r="1" spans="1:25" s="7" customFormat="1" ht="15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23"/>
      <c r="U1" s="23"/>
      <c r="V1" s="23"/>
      <c r="W1" s="23"/>
      <c r="X1" s="23"/>
      <c r="Y1" s="23"/>
    </row>
    <row r="2" spans="1:25" s="7" customFormat="1" ht="15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23"/>
      <c r="U2" s="23"/>
      <c r="V2" s="23"/>
      <c r="W2" s="23"/>
      <c r="X2" s="23"/>
      <c r="Y2" s="23"/>
    </row>
    <row r="3" spans="1:25" s="7" customFormat="1" ht="15">
      <c r="A3" s="68" t="s">
        <v>45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24"/>
      <c r="U3" s="24"/>
      <c r="V3" s="24"/>
      <c r="W3" s="24"/>
      <c r="X3" s="24"/>
      <c r="Y3" s="24"/>
    </row>
    <row r="4" spans="1:25" s="7" customFormat="1" ht="15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25"/>
      <c r="U4" s="25"/>
      <c r="V4" s="25"/>
      <c r="W4" s="25"/>
      <c r="X4" s="25"/>
      <c r="Y4" s="25"/>
    </row>
    <row r="5" spans="1:19" s="7" customFormat="1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25" s="7" customFormat="1" ht="15.75">
      <c r="A6" s="70" t="s">
        <v>42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26"/>
      <c r="U6" s="26"/>
      <c r="V6" s="26"/>
      <c r="W6" s="26"/>
      <c r="X6" s="26"/>
      <c r="Y6" s="26"/>
    </row>
    <row r="7" spans="11:19" ht="15">
      <c r="K7" s="66" t="s">
        <v>44</v>
      </c>
      <c r="L7" s="66"/>
      <c r="M7" s="66"/>
      <c r="N7" s="66"/>
      <c r="O7" s="66"/>
      <c r="P7" s="66"/>
      <c r="Q7" s="66"/>
      <c r="R7" s="66"/>
      <c r="S7" s="66"/>
    </row>
    <row r="8" spans="1:19" ht="27" customHeight="1">
      <c r="A8" s="63" t="s">
        <v>12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</row>
    <row r="9" spans="1:11" ht="21.75" customHeight="1">
      <c r="A9" s="48">
        <v>1</v>
      </c>
      <c r="B9" s="36" t="s">
        <v>2</v>
      </c>
      <c r="C9" s="49">
        <f>VLOOKUP(A9,PRESUPUESTO,3)</f>
        <v>119236883</v>
      </c>
      <c r="D9" s="13"/>
      <c r="E9" s="1"/>
      <c r="F9" s="1"/>
      <c r="G9" s="1"/>
      <c r="H9" s="1"/>
      <c r="I9" s="1"/>
      <c r="J9" s="1"/>
      <c r="K9" s="1"/>
    </row>
    <row r="10" spans="1:4" ht="22.5" customHeight="1">
      <c r="A10" s="14"/>
      <c r="B10" s="6" t="s">
        <v>3</v>
      </c>
      <c r="C10" s="37">
        <f>C9*0.95</f>
        <v>113275038.85</v>
      </c>
      <c r="D10" s="37">
        <f>C9</f>
        <v>119236883</v>
      </c>
    </row>
    <row r="11" spans="11:19" ht="15"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49.5" customHeight="1">
      <c r="A12" s="33" t="s">
        <v>18</v>
      </c>
      <c r="B12" s="22" t="s">
        <v>0</v>
      </c>
      <c r="C12" s="34" t="s">
        <v>1</v>
      </c>
      <c r="D12" s="35" t="s">
        <v>9</v>
      </c>
      <c r="E12" s="38" t="s">
        <v>10</v>
      </c>
      <c r="F12" s="39" t="s">
        <v>11</v>
      </c>
      <c r="G12" s="40" t="s">
        <v>6</v>
      </c>
      <c r="H12" s="40" t="s">
        <v>13</v>
      </c>
      <c r="I12" s="40" t="s">
        <v>14</v>
      </c>
      <c r="J12" s="40" t="s">
        <v>15</v>
      </c>
      <c r="K12" s="40" t="s">
        <v>8</v>
      </c>
      <c r="P12" s="60" t="s">
        <v>43</v>
      </c>
      <c r="Q12" s="61"/>
      <c r="R12" s="61"/>
      <c r="S12" s="62"/>
    </row>
    <row r="13" spans="1:19" ht="15">
      <c r="A13" s="9">
        <v>1</v>
      </c>
      <c r="B13" s="2" t="str">
        <f aca="true" t="shared" si="0" ref="B13:B29">VLOOKUP(A13,datos,2)</f>
        <v>LENIN TITO MENDOZA</v>
      </c>
      <c r="C13" s="15">
        <f aca="true" t="shared" si="1" ref="C13:C29">VLOOKUP(A13,datos,3)</f>
        <v>117257925</v>
      </c>
      <c r="D13" s="51" t="s">
        <v>4</v>
      </c>
      <c r="E13" s="41" t="str">
        <f>IF(C13&lt;$C$10,"NO",IF(C13&gt;$D$10,"NO","SI"))</f>
        <v>SI</v>
      </c>
      <c r="F13" s="41" t="str">
        <f>IF(AND(D13="SI",E13="SI"),"SI","NO")</f>
        <v>SI</v>
      </c>
      <c r="G13" s="42">
        <f>IF(F13="SI",C13,1)</f>
        <v>117257925</v>
      </c>
      <c r="H13" s="5">
        <f>(SUMIF(G13:G29,"&gt;1"))/G31</f>
        <v>118250702.23529412</v>
      </c>
      <c r="I13" s="5">
        <f>(H13+C9)/2</f>
        <v>118743792.61764705</v>
      </c>
      <c r="J13" s="42">
        <f>IF(G13&gt;1,ABS(G13-$I$13),"P")</f>
        <v>1485867.6176470518</v>
      </c>
      <c r="K13" s="41">
        <f aca="true" t="shared" si="2" ref="K13:K29">+IF(J13=MIN($J$13:$J$29),"GANADOR","")</f>
      </c>
      <c r="L13" s="42">
        <f aca="true" t="shared" si="3" ref="L13:L29">IF(J13&lt;&gt;$J$31,J13,"P")</f>
        <v>1485867.6176470518</v>
      </c>
      <c r="M13" s="42">
        <f aca="true" t="shared" si="4" ref="M13:M29">IF(L13&lt;&gt;$L$31,L13,"P")</f>
        <v>1485867.6176470518</v>
      </c>
      <c r="N13" s="42">
        <f aca="true" t="shared" si="5" ref="N13:N29">IF(M13&lt;&gt;$M$31,M13,"P")</f>
        <v>1485867.6176470518</v>
      </c>
      <c r="O13" s="41">
        <f aca="true" t="shared" si="6" ref="O13:O29">IF(N13&lt;&gt;$N$31,N13,"P")</f>
        <v>1485867.6176470518</v>
      </c>
      <c r="P13" s="41">
        <f aca="true" t="shared" si="7" ref="P13:P29">IF(L13=$L$31,"2º","")</f>
      </c>
      <c r="Q13" s="41">
        <f aca="true" t="shared" si="8" ref="Q13:Q29">IF(M13=$M$31,"3º","")</f>
      </c>
      <c r="R13" s="41">
        <f aca="true" t="shared" si="9" ref="R13:R29">IF(N13=$N$31,"4º","")</f>
      </c>
      <c r="S13" s="41">
        <f aca="true" t="shared" si="10" ref="S13:S29">IF(O13=$O$31,"5º","")</f>
      </c>
    </row>
    <row r="14" spans="1:19" ht="15">
      <c r="A14" s="9">
        <v>2</v>
      </c>
      <c r="B14" s="2" t="str">
        <f t="shared" si="0"/>
        <v>LUIS VALLEJO OCAMPO</v>
      </c>
      <c r="C14" s="15">
        <f t="shared" si="1"/>
        <v>118600000</v>
      </c>
      <c r="D14" s="51" t="s">
        <v>4</v>
      </c>
      <c r="E14" s="41" t="str">
        <f aca="true" t="shared" si="11" ref="E14:E29">IF(C14&lt;$C$10,"NO",IF(C14&gt;$D$10,"NO","SI"))</f>
        <v>SI</v>
      </c>
      <c r="F14" s="41" t="str">
        <f aca="true" t="shared" si="12" ref="F14:F29">IF(AND(D14="SI",E14="SI"),"SI","NO")</f>
        <v>SI</v>
      </c>
      <c r="G14" s="42">
        <f aca="true" t="shared" si="13" ref="G14:G29">IF(F14="SI",C14,1)</f>
        <v>118600000</v>
      </c>
      <c r="H14" s="43"/>
      <c r="I14" s="43"/>
      <c r="J14" s="42">
        <f aca="true" t="shared" si="14" ref="J14:J29">IF(G14&gt;1,ABS(G14-$I$13),"P")</f>
        <v>143792.6176470518</v>
      </c>
      <c r="K14" s="41">
        <f t="shared" si="2"/>
      </c>
      <c r="L14" s="42">
        <f t="shared" si="3"/>
        <v>143792.6176470518</v>
      </c>
      <c r="M14" s="42">
        <f t="shared" si="4"/>
        <v>143792.6176470518</v>
      </c>
      <c r="N14" s="42">
        <f t="shared" si="5"/>
        <v>143792.6176470518</v>
      </c>
      <c r="O14" s="41">
        <f t="shared" si="6"/>
        <v>143792.6176470518</v>
      </c>
      <c r="P14" s="41">
        <f t="shared" si="7"/>
      </c>
      <c r="Q14" s="41">
        <f t="shared" si="8"/>
      </c>
      <c r="R14" s="41">
        <f t="shared" si="9"/>
      </c>
      <c r="S14" s="41" t="str">
        <f t="shared" si="10"/>
        <v>5º</v>
      </c>
    </row>
    <row r="15" spans="1:19" ht="15">
      <c r="A15" s="9">
        <v>3</v>
      </c>
      <c r="B15" s="2" t="str">
        <f t="shared" si="0"/>
        <v>YAMIL FABIAN HAMDANN</v>
      </c>
      <c r="C15" s="15">
        <f t="shared" si="1"/>
        <v>118798349</v>
      </c>
      <c r="D15" s="51" t="s">
        <v>4</v>
      </c>
      <c r="E15" s="41" t="str">
        <f t="shared" si="11"/>
        <v>SI</v>
      </c>
      <c r="F15" s="41" t="str">
        <f t="shared" si="12"/>
        <v>SI</v>
      </c>
      <c r="G15" s="42">
        <f t="shared" si="13"/>
        <v>118798349</v>
      </c>
      <c r="H15" s="43"/>
      <c r="I15" s="43"/>
      <c r="J15" s="42">
        <f t="shared" si="14"/>
        <v>54556.38235294819</v>
      </c>
      <c r="K15" s="41">
        <f t="shared" si="2"/>
      </c>
      <c r="L15" s="42">
        <f t="shared" si="3"/>
        <v>54556.38235294819</v>
      </c>
      <c r="M15" s="42" t="str">
        <f t="shared" si="4"/>
        <v>P</v>
      </c>
      <c r="N15" s="42" t="str">
        <f t="shared" si="5"/>
        <v>P</v>
      </c>
      <c r="O15" s="41" t="str">
        <f t="shared" si="6"/>
        <v>P</v>
      </c>
      <c r="P15" s="41" t="str">
        <f t="shared" si="7"/>
        <v>2º</v>
      </c>
      <c r="Q15" s="41">
        <f t="shared" si="8"/>
      </c>
      <c r="R15" s="41">
        <f t="shared" si="9"/>
      </c>
      <c r="S15" s="41">
        <f t="shared" si="10"/>
      </c>
    </row>
    <row r="16" spans="1:19" ht="15">
      <c r="A16" s="9">
        <v>4</v>
      </c>
      <c r="B16" s="2" t="str">
        <f t="shared" si="0"/>
        <v>BERNARDO JOSE GOMEZ</v>
      </c>
      <c r="C16" s="15">
        <f t="shared" si="1"/>
        <v>118392875</v>
      </c>
      <c r="D16" s="51" t="s">
        <v>4</v>
      </c>
      <c r="E16" s="41" t="str">
        <f t="shared" si="11"/>
        <v>SI</v>
      </c>
      <c r="F16" s="41" t="str">
        <f t="shared" si="12"/>
        <v>SI</v>
      </c>
      <c r="G16" s="42">
        <f t="shared" si="13"/>
        <v>118392875</v>
      </c>
      <c r="H16" s="43"/>
      <c r="I16" s="43"/>
      <c r="J16" s="42">
        <f t="shared" si="14"/>
        <v>350917.6176470518</v>
      </c>
      <c r="K16" s="41">
        <f t="shared" si="2"/>
      </c>
      <c r="L16" s="42">
        <f t="shared" si="3"/>
        <v>350917.6176470518</v>
      </c>
      <c r="M16" s="42">
        <f t="shared" si="4"/>
        <v>350917.6176470518</v>
      </c>
      <c r="N16" s="42">
        <f t="shared" si="5"/>
        <v>350917.6176470518</v>
      </c>
      <c r="O16" s="41">
        <f t="shared" si="6"/>
        <v>350917.6176470518</v>
      </c>
      <c r="P16" s="41">
        <f t="shared" si="7"/>
      </c>
      <c r="Q16" s="41">
        <f t="shared" si="8"/>
      </c>
      <c r="R16" s="41">
        <f t="shared" si="9"/>
      </c>
      <c r="S16" s="41">
        <f t="shared" si="10"/>
      </c>
    </row>
    <row r="17" spans="1:19" ht="15">
      <c r="A17" s="9">
        <v>5</v>
      </c>
      <c r="B17" s="2" t="str">
        <f t="shared" si="0"/>
        <v>CARLOS ALBERTO PALTA</v>
      </c>
      <c r="C17" s="15">
        <f t="shared" si="1"/>
        <v>117019188</v>
      </c>
      <c r="D17" s="51" t="s">
        <v>4</v>
      </c>
      <c r="E17" s="41" t="str">
        <f t="shared" si="11"/>
        <v>SI</v>
      </c>
      <c r="F17" s="41" t="str">
        <f t="shared" si="12"/>
        <v>SI</v>
      </c>
      <c r="G17" s="42">
        <f t="shared" si="13"/>
        <v>117019188</v>
      </c>
      <c r="H17" s="43"/>
      <c r="I17" s="43"/>
      <c r="J17" s="42">
        <f t="shared" si="14"/>
        <v>1724604.6176470518</v>
      </c>
      <c r="K17" s="41">
        <f t="shared" si="2"/>
      </c>
      <c r="L17" s="42">
        <f t="shared" si="3"/>
        <v>1724604.6176470518</v>
      </c>
      <c r="M17" s="42">
        <f t="shared" si="4"/>
        <v>1724604.6176470518</v>
      </c>
      <c r="N17" s="42">
        <f t="shared" si="5"/>
        <v>1724604.6176470518</v>
      </c>
      <c r="O17" s="41">
        <f t="shared" si="6"/>
        <v>1724604.6176470518</v>
      </c>
      <c r="P17" s="41">
        <f t="shared" si="7"/>
      </c>
      <c r="Q17" s="41">
        <f t="shared" si="8"/>
      </c>
      <c r="R17" s="41">
        <f t="shared" si="9"/>
      </c>
      <c r="S17" s="41">
        <f t="shared" si="10"/>
      </c>
    </row>
    <row r="18" spans="1:19" ht="15">
      <c r="A18" s="9">
        <v>6</v>
      </c>
      <c r="B18" s="2" t="str">
        <f t="shared" si="0"/>
        <v>JOSE GREGORIO MENDEZ</v>
      </c>
      <c r="C18" s="15">
        <f t="shared" si="1"/>
        <v>118404289</v>
      </c>
      <c r="D18" s="51" t="s">
        <v>4</v>
      </c>
      <c r="E18" s="41" t="str">
        <f t="shared" si="11"/>
        <v>SI</v>
      </c>
      <c r="F18" s="41" t="str">
        <f t="shared" si="12"/>
        <v>SI</v>
      </c>
      <c r="G18" s="42">
        <f t="shared" si="13"/>
        <v>118404289</v>
      </c>
      <c r="H18" s="43"/>
      <c r="I18" s="43"/>
      <c r="J18" s="42">
        <f t="shared" si="14"/>
        <v>339503.6176470518</v>
      </c>
      <c r="K18" s="41">
        <f t="shared" si="2"/>
      </c>
      <c r="L18" s="42">
        <f t="shared" si="3"/>
        <v>339503.6176470518</v>
      </c>
      <c r="M18" s="42">
        <f t="shared" si="4"/>
        <v>339503.6176470518</v>
      </c>
      <c r="N18" s="42">
        <f t="shared" si="5"/>
        <v>339503.6176470518</v>
      </c>
      <c r="O18" s="41">
        <f t="shared" si="6"/>
        <v>339503.6176470518</v>
      </c>
      <c r="P18" s="41">
        <f t="shared" si="7"/>
      </c>
      <c r="Q18" s="41">
        <f t="shared" si="8"/>
      </c>
      <c r="R18" s="41">
        <f t="shared" si="9"/>
      </c>
      <c r="S18" s="41">
        <f t="shared" si="10"/>
      </c>
    </row>
    <row r="19" spans="1:19" ht="15">
      <c r="A19" s="9">
        <v>7</v>
      </c>
      <c r="B19" s="2" t="str">
        <f t="shared" si="0"/>
        <v>CARLOSMANUEL VELASCO</v>
      </c>
      <c r="C19" s="15">
        <f t="shared" si="1"/>
        <v>118225750</v>
      </c>
      <c r="D19" s="51" t="s">
        <v>4</v>
      </c>
      <c r="E19" s="41" t="str">
        <f t="shared" si="11"/>
        <v>SI</v>
      </c>
      <c r="F19" s="41" t="str">
        <f t="shared" si="12"/>
        <v>SI</v>
      </c>
      <c r="G19" s="42">
        <f t="shared" si="13"/>
        <v>118225750</v>
      </c>
      <c r="H19" s="43"/>
      <c r="I19" s="43"/>
      <c r="J19" s="42">
        <f t="shared" si="14"/>
        <v>518042.6176470518</v>
      </c>
      <c r="K19" s="41">
        <f t="shared" si="2"/>
      </c>
      <c r="L19" s="42">
        <f t="shared" si="3"/>
        <v>518042.6176470518</v>
      </c>
      <c r="M19" s="42">
        <f t="shared" si="4"/>
        <v>518042.6176470518</v>
      </c>
      <c r="N19" s="42">
        <f t="shared" si="5"/>
        <v>518042.6176470518</v>
      </c>
      <c r="O19" s="41">
        <f t="shared" si="6"/>
        <v>518042.6176470518</v>
      </c>
      <c r="P19" s="41">
        <f t="shared" si="7"/>
      </c>
      <c r="Q19" s="41">
        <f t="shared" si="8"/>
      </c>
      <c r="R19" s="41">
        <f t="shared" si="9"/>
      </c>
      <c r="S19" s="41">
        <f t="shared" si="10"/>
      </c>
    </row>
    <row r="20" spans="1:19" s="32" customFormat="1" ht="15">
      <c r="A20" s="29">
        <v>8</v>
      </c>
      <c r="B20" s="30" t="str">
        <f t="shared" si="0"/>
        <v>ELIO JOSE LOMBANA</v>
      </c>
      <c r="C20" s="31">
        <f t="shared" si="1"/>
        <v>118769103</v>
      </c>
      <c r="D20" s="52" t="s">
        <v>4</v>
      </c>
      <c r="E20" s="44" t="str">
        <f t="shared" si="11"/>
        <v>SI</v>
      </c>
      <c r="F20" s="44" t="str">
        <f t="shared" si="12"/>
        <v>SI</v>
      </c>
      <c r="G20" s="45">
        <f t="shared" si="13"/>
        <v>118769103</v>
      </c>
      <c r="H20" s="46"/>
      <c r="I20" s="46"/>
      <c r="J20" s="45">
        <f t="shared" si="14"/>
        <v>25310.38235294819</v>
      </c>
      <c r="K20" s="44" t="str">
        <f t="shared" si="2"/>
        <v>GANADOR</v>
      </c>
      <c r="L20" s="45" t="str">
        <f t="shared" si="3"/>
        <v>P</v>
      </c>
      <c r="M20" s="45" t="str">
        <f t="shared" si="4"/>
        <v>P</v>
      </c>
      <c r="N20" s="45" t="str">
        <f t="shared" si="5"/>
        <v>P</v>
      </c>
      <c r="O20" s="44" t="str">
        <f t="shared" si="6"/>
        <v>P</v>
      </c>
      <c r="P20" s="44">
        <f t="shared" si="7"/>
      </c>
      <c r="Q20" s="44">
        <f t="shared" si="8"/>
      </c>
      <c r="R20" s="44">
        <f t="shared" si="9"/>
      </c>
      <c r="S20" s="44">
        <f t="shared" si="10"/>
      </c>
    </row>
    <row r="21" spans="1:19" ht="15">
      <c r="A21" s="9">
        <v>9</v>
      </c>
      <c r="B21" s="2" t="str">
        <f t="shared" si="0"/>
        <v>CONSORCIO HEGA</v>
      </c>
      <c r="C21" s="15">
        <f t="shared" si="1"/>
        <v>118096179</v>
      </c>
      <c r="D21" s="51" t="s">
        <v>4</v>
      </c>
      <c r="E21" s="41" t="str">
        <f t="shared" si="11"/>
        <v>SI</v>
      </c>
      <c r="F21" s="41" t="str">
        <f t="shared" si="12"/>
        <v>SI</v>
      </c>
      <c r="G21" s="42">
        <f t="shared" si="13"/>
        <v>118096179</v>
      </c>
      <c r="H21" s="43"/>
      <c r="I21" s="43"/>
      <c r="J21" s="42">
        <f t="shared" si="14"/>
        <v>647613.6176470518</v>
      </c>
      <c r="K21" s="41">
        <f t="shared" si="2"/>
      </c>
      <c r="L21" s="42">
        <f t="shared" si="3"/>
        <v>647613.6176470518</v>
      </c>
      <c r="M21" s="42">
        <f t="shared" si="4"/>
        <v>647613.6176470518</v>
      </c>
      <c r="N21" s="42">
        <f t="shared" si="5"/>
        <v>647613.6176470518</v>
      </c>
      <c r="O21" s="41">
        <f t="shared" si="6"/>
        <v>647613.6176470518</v>
      </c>
      <c r="P21" s="41">
        <f t="shared" si="7"/>
      </c>
      <c r="Q21" s="41">
        <f t="shared" si="8"/>
      </c>
      <c r="R21" s="41">
        <f t="shared" si="9"/>
      </c>
      <c r="S21" s="41">
        <f t="shared" si="10"/>
      </c>
    </row>
    <row r="22" spans="1:19" ht="15">
      <c r="A22" s="9">
        <v>10</v>
      </c>
      <c r="B22" s="2" t="str">
        <f t="shared" si="0"/>
        <v>MARIA EUGENIA TRUJILLO</v>
      </c>
      <c r="C22" s="15">
        <f t="shared" si="1"/>
        <v>119184888</v>
      </c>
      <c r="D22" s="51" t="s">
        <v>4</v>
      </c>
      <c r="E22" s="41" t="str">
        <f t="shared" si="11"/>
        <v>SI</v>
      </c>
      <c r="F22" s="41" t="str">
        <f t="shared" si="12"/>
        <v>SI</v>
      </c>
      <c r="G22" s="42">
        <f t="shared" si="13"/>
        <v>119184888</v>
      </c>
      <c r="H22" s="43"/>
      <c r="I22" s="43"/>
      <c r="J22" s="42">
        <f t="shared" si="14"/>
        <v>441095.3823529482</v>
      </c>
      <c r="K22" s="41">
        <f t="shared" si="2"/>
      </c>
      <c r="L22" s="42">
        <f t="shared" si="3"/>
        <v>441095.3823529482</v>
      </c>
      <c r="M22" s="42">
        <f t="shared" si="4"/>
        <v>441095.3823529482</v>
      </c>
      <c r="N22" s="42">
        <f t="shared" si="5"/>
        <v>441095.3823529482</v>
      </c>
      <c r="O22" s="41">
        <f t="shared" si="6"/>
        <v>441095.3823529482</v>
      </c>
      <c r="P22" s="41">
        <f t="shared" si="7"/>
      </c>
      <c r="Q22" s="41">
        <f t="shared" si="8"/>
      </c>
      <c r="R22" s="41">
        <f t="shared" si="9"/>
      </c>
      <c r="S22" s="41">
        <f t="shared" si="10"/>
      </c>
    </row>
    <row r="23" spans="1:19" ht="15">
      <c r="A23" s="9">
        <v>11</v>
      </c>
      <c r="B23" s="2" t="str">
        <f>VLOOKUP(A23,datos,2)</f>
        <v>EDGAR ARMANDO SALAZAR</v>
      </c>
      <c r="C23" s="15">
        <f t="shared" si="1"/>
        <v>118807630</v>
      </c>
      <c r="D23" s="51" t="s">
        <v>4</v>
      </c>
      <c r="E23" s="41" t="str">
        <f t="shared" si="11"/>
        <v>SI</v>
      </c>
      <c r="F23" s="41" t="str">
        <f t="shared" si="12"/>
        <v>SI</v>
      </c>
      <c r="G23" s="42">
        <f t="shared" si="13"/>
        <v>118807630</v>
      </c>
      <c r="H23" s="43"/>
      <c r="I23" s="43"/>
      <c r="J23" s="42">
        <f t="shared" si="14"/>
        <v>63837.38235294819</v>
      </c>
      <c r="K23" s="41">
        <f t="shared" si="2"/>
      </c>
      <c r="L23" s="42">
        <f t="shared" si="3"/>
        <v>63837.38235294819</v>
      </c>
      <c r="M23" s="42">
        <f t="shared" si="4"/>
        <v>63837.38235294819</v>
      </c>
      <c r="N23" s="42" t="str">
        <f t="shared" si="5"/>
        <v>P</v>
      </c>
      <c r="O23" s="41" t="str">
        <f t="shared" si="6"/>
        <v>P</v>
      </c>
      <c r="P23" s="41">
        <f t="shared" si="7"/>
      </c>
      <c r="Q23" s="41" t="str">
        <f t="shared" si="8"/>
        <v>3º</v>
      </c>
      <c r="R23" s="41">
        <f t="shared" si="9"/>
      </c>
      <c r="S23" s="41">
        <f t="shared" si="10"/>
      </c>
    </row>
    <row r="24" spans="1:19" ht="15">
      <c r="A24" s="9">
        <v>12</v>
      </c>
      <c r="B24" s="2" t="str">
        <f t="shared" si="0"/>
        <v>LUIS EDUARDO ORDOÑEZ</v>
      </c>
      <c r="C24" s="15">
        <f t="shared" si="1"/>
        <v>117653417</v>
      </c>
      <c r="D24" s="51" t="s">
        <v>4</v>
      </c>
      <c r="E24" s="41" t="str">
        <f t="shared" si="11"/>
        <v>SI</v>
      </c>
      <c r="F24" s="41" t="str">
        <f t="shared" si="12"/>
        <v>SI</v>
      </c>
      <c r="G24" s="42">
        <f t="shared" si="13"/>
        <v>117653417</v>
      </c>
      <c r="H24" s="43"/>
      <c r="I24" s="43"/>
      <c r="J24" s="42">
        <f t="shared" si="14"/>
        <v>1090375.6176470518</v>
      </c>
      <c r="K24" s="41">
        <f t="shared" si="2"/>
      </c>
      <c r="L24" s="42">
        <f t="shared" si="3"/>
        <v>1090375.6176470518</v>
      </c>
      <c r="M24" s="42">
        <f t="shared" si="4"/>
        <v>1090375.6176470518</v>
      </c>
      <c r="N24" s="42">
        <f t="shared" si="5"/>
        <v>1090375.6176470518</v>
      </c>
      <c r="O24" s="41">
        <f t="shared" si="6"/>
        <v>1090375.6176470518</v>
      </c>
      <c r="P24" s="41">
        <f t="shared" si="7"/>
      </c>
      <c r="Q24" s="41">
        <f t="shared" si="8"/>
      </c>
      <c r="R24" s="41">
        <f t="shared" si="9"/>
      </c>
      <c r="S24" s="41">
        <f t="shared" si="10"/>
      </c>
    </row>
    <row r="25" spans="1:19" ht="15">
      <c r="A25" s="9">
        <v>13</v>
      </c>
      <c r="B25" s="2" t="str">
        <f t="shared" si="0"/>
        <v>IDER NOGUERA MONTILLA</v>
      </c>
      <c r="C25" s="15">
        <f t="shared" si="1"/>
        <v>118343683</v>
      </c>
      <c r="D25" s="51" t="s">
        <v>4</v>
      </c>
      <c r="E25" s="41" t="str">
        <f t="shared" si="11"/>
        <v>SI</v>
      </c>
      <c r="F25" s="41" t="str">
        <f t="shared" si="12"/>
        <v>SI</v>
      </c>
      <c r="G25" s="42">
        <f t="shared" si="13"/>
        <v>118343683</v>
      </c>
      <c r="H25" s="43"/>
      <c r="I25" s="43"/>
      <c r="J25" s="42">
        <f t="shared" si="14"/>
        <v>400109.6176470518</v>
      </c>
      <c r="K25" s="41">
        <f t="shared" si="2"/>
      </c>
      <c r="L25" s="42">
        <f t="shared" si="3"/>
        <v>400109.6176470518</v>
      </c>
      <c r="M25" s="42">
        <f t="shared" si="4"/>
        <v>400109.6176470518</v>
      </c>
      <c r="N25" s="42">
        <f t="shared" si="5"/>
        <v>400109.6176470518</v>
      </c>
      <c r="O25" s="41">
        <f t="shared" si="6"/>
        <v>400109.6176470518</v>
      </c>
      <c r="P25" s="41">
        <f t="shared" si="7"/>
      </c>
      <c r="Q25" s="41">
        <f t="shared" si="8"/>
      </c>
      <c r="R25" s="41">
        <f t="shared" si="9"/>
      </c>
      <c r="S25" s="41">
        <f t="shared" si="10"/>
      </c>
    </row>
    <row r="26" spans="1:19" ht="15">
      <c r="A26" s="9">
        <v>14</v>
      </c>
      <c r="B26" s="2" t="str">
        <f t="shared" si="0"/>
        <v>MADECONS S.A</v>
      </c>
      <c r="C26" s="15">
        <f t="shared" si="1"/>
        <v>117230264</v>
      </c>
      <c r="D26" s="51" t="s">
        <v>4</v>
      </c>
      <c r="E26" s="41" t="str">
        <f t="shared" si="11"/>
        <v>SI</v>
      </c>
      <c r="F26" s="41" t="str">
        <f t="shared" si="12"/>
        <v>SI</v>
      </c>
      <c r="G26" s="42">
        <f t="shared" si="13"/>
        <v>117230264</v>
      </c>
      <c r="H26" s="43"/>
      <c r="I26" s="43"/>
      <c r="J26" s="42">
        <f t="shared" si="14"/>
        <v>1513528.6176470518</v>
      </c>
      <c r="K26" s="41">
        <f t="shared" si="2"/>
      </c>
      <c r="L26" s="42">
        <f t="shared" si="3"/>
        <v>1513528.6176470518</v>
      </c>
      <c r="M26" s="42">
        <f t="shared" si="4"/>
        <v>1513528.6176470518</v>
      </c>
      <c r="N26" s="42">
        <f t="shared" si="5"/>
        <v>1513528.6176470518</v>
      </c>
      <c r="O26" s="41">
        <f t="shared" si="6"/>
        <v>1513528.6176470518</v>
      </c>
      <c r="P26" s="41">
        <f t="shared" si="7"/>
      </c>
      <c r="Q26" s="41">
        <f t="shared" si="8"/>
      </c>
      <c r="R26" s="41">
        <f t="shared" si="9"/>
      </c>
      <c r="S26" s="41">
        <f t="shared" si="10"/>
      </c>
    </row>
    <row r="27" spans="1:19" ht="15">
      <c r="A27" s="9">
        <v>15</v>
      </c>
      <c r="B27" s="2" t="str">
        <f t="shared" si="0"/>
        <v>JAIRO EDUARDO MUÑOZ</v>
      </c>
      <c r="C27" s="15">
        <f t="shared" si="1"/>
        <v>118336090</v>
      </c>
      <c r="D27" s="51" t="s">
        <v>4</v>
      </c>
      <c r="E27" s="41" t="str">
        <f t="shared" si="11"/>
        <v>SI</v>
      </c>
      <c r="F27" s="41" t="str">
        <f t="shared" si="12"/>
        <v>SI</v>
      </c>
      <c r="G27" s="42">
        <f t="shared" si="13"/>
        <v>118336090</v>
      </c>
      <c r="H27" s="43"/>
      <c r="I27" s="43"/>
      <c r="J27" s="42">
        <f t="shared" si="14"/>
        <v>407702.6176470518</v>
      </c>
      <c r="K27" s="41">
        <f t="shared" si="2"/>
      </c>
      <c r="L27" s="42">
        <f t="shared" si="3"/>
        <v>407702.6176470518</v>
      </c>
      <c r="M27" s="42">
        <f t="shared" si="4"/>
        <v>407702.6176470518</v>
      </c>
      <c r="N27" s="42">
        <f t="shared" si="5"/>
        <v>407702.6176470518</v>
      </c>
      <c r="O27" s="41">
        <f t="shared" si="6"/>
        <v>407702.6176470518</v>
      </c>
      <c r="P27" s="41">
        <f t="shared" si="7"/>
      </c>
      <c r="Q27" s="41">
        <f t="shared" si="8"/>
      </c>
      <c r="R27" s="41">
        <f t="shared" si="9"/>
      </c>
      <c r="S27" s="41">
        <f t="shared" si="10"/>
      </c>
    </row>
    <row r="28" spans="1:19" ht="15">
      <c r="A28" s="9">
        <v>16</v>
      </c>
      <c r="B28" s="2" t="str">
        <f t="shared" si="0"/>
        <v>ZENAIDA SANTANDER</v>
      </c>
      <c r="C28" s="15">
        <f t="shared" si="1"/>
        <v>118319163</v>
      </c>
      <c r="D28" s="51" t="s">
        <v>4</v>
      </c>
      <c r="E28" s="41" t="str">
        <f t="shared" si="11"/>
        <v>SI</v>
      </c>
      <c r="F28" s="41" t="str">
        <f t="shared" si="12"/>
        <v>SI</v>
      </c>
      <c r="G28" s="42">
        <f t="shared" si="13"/>
        <v>118319163</v>
      </c>
      <c r="H28" s="43"/>
      <c r="I28" s="43"/>
      <c r="J28" s="42">
        <f t="shared" si="14"/>
        <v>424629.6176470518</v>
      </c>
      <c r="K28" s="41">
        <f t="shared" si="2"/>
      </c>
      <c r="L28" s="42">
        <f t="shared" si="3"/>
        <v>424629.6176470518</v>
      </c>
      <c r="M28" s="42">
        <f t="shared" si="4"/>
        <v>424629.6176470518</v>
      </c>
      <c r="N28" s="42">
        <f t="shared" si="5"/>
        <v>424629.6176470518</v>
      </c>
      <c r="O28" s="41">
        <f t="shared" si="6"/>
        <v>424629.6176470518</v>
      </c>
      <c r="P28" s="41">
        <f t="shared" si="7"/>
      </c>
      <c r="Q28" s="41">
        <f t="shared" si="8"/>
      </c>
      <c r="R28" s="41">
        <f t="shared" si="9"/>
      </c>
      <c r="S28" s="41">
        <f t="shared" si="10"/>
      </c>
    </row>
    <row r="29" spans="1:19" ht="15">
      <c r="A29" s="9">
        <v>17</v>
      </c>
      <c r="B29" s="2" t="str">
        <f t="shared" si="0"/>
        <v>HENRY ARCE ARAGON</v>
      </c>
      <c r="C29" s="15">
        <f t="shared" si="1"/>
        <v>118823145</v>
      </c>
      <c r="D29" s="51" t="s">
        <v>4</v>
      </c>
      <c r="E29" s="41" t="str">
        <f t="shared" si="11"/>
        <v>SI</v>
      </c>
      <c r="F29" s="41" t="str">
        <f t="shared" si="12"/>
        <v>SI</v>
      </c>
      <c r="G29" s="42">
        <f t="shared" si="13"/>
        <v>118823145</v>
      </c>
      <c r="H29" s="43"/>
      <c r="I29" s="43"/>
      <c r="J29" s="42">
        <f t="shared" si="14"/>
        <v>79352.38235294819</v>
      </c>
      <c r="K29" s="41">
        <f t="shared" si="2"/>
      </c>
      <c r="L29" s="42">
        <f t="shared" si="3"/>
        <v>79352.38235294819</v>
      </c>
      <c r="M29" s="42">
        <f t="shared" si="4"/>
        <v>79352.38235294819</v>
      </c>
      <c r="N29" s="42">
        <f t="shared" si="5"/>
        <v>79352.38235294819</v>
      </c>
      <c r="O29" s="41" t="str">
        <f t="shared" si="6"/>
        <v>P</v>
      </c>
      <c r="P29" s="41">
        <f t="shared" si="7"/>
      </c>
      <c r="Q29" s="41">
        <f t="shared" si="8"/>
      </c>
      <c r="R29" s="41" t="str">
        <f t="shared" si="9"/>
        <v>4º</v>
      </c>
      <c r="S29" s="41">
        <f t="shared" si="10"/>
      </c>
    </row>
    <row r="30" ht="15">
      <c r="B30" s="12"/>
    </row>
    <row r="31" spans="2:15" ht="15">
      <c r="B31" s="28" t="s">
        <v>7</v>
      </c>
      <c r="C31" s="28">
        <f>IF(D36=0,20,20-D36)</f>
        <v>20</v>
      </c>
      <c r="G31" s="3">
        <f>COUNTIF(G13:G29,"&gt;1")</f>
        <v>17</v>
      </c>
      <c r="J31" s="47">
        <f>MIN(J13:J29)</f>
        <v>25310.38235294819</v>
      </c>
      <c r="L31" s="18">
        <f>MIN(L13:L29)</f>
        <v>54556.38235294819</v>
      </c>
      <c r="M31" s="18">
        <f>MIN(M13:M29)</f>
        <v>63837.38235294819</v>
      </c>
      <c r="N31" s="18">
        <f>MIN(N13:N29)</f>
        <v>79352.38235294819</v>
      </c>
      <c r="O31" s="8">
        <f>MIN(O13:O29)</f>
        <v>143792.6176470518</v>
      </c>
    </row>
    <row r="32" spans="2:3" ht="15">
      <c r="B32" s="10"/>
      <c r="C32" s="9"/>
    </row>
    <row r="34" ht="15">
      <c r="D34" s="27" t="s">
        <v>4</v>
      </c>
    </row>
    <row r="35" ht="15">
      <c r="D35" s="27" t="s">
        <v>5</v>
      </c>
    </row>
    <row r="36" ht="15">
      <c r="D36" s="50">
        <f>COUNT(B13:B29)</f>
        <v>0</v>
      </c>
    </row>
  </sheetData>
  <sheetProtection/>
  <mergeCells count="9">
    <mergeCell ref="P12:S12"/>
    <mergeCell ref="A8:S8"/>
    <mergeCell ref="K11:S11"/>
    <mergeCell ref="K7:S7"/>
    <mergeCell ref="A1:S1"/>
    <mergeCell ref="A2:S2"/>
    <mergeCell ref="A3:S3"/>
    <mergeCell ref="A4:S4"/>
    <mergeCell ref="A6:S6"/>
  </mergeCells>
  <dataValidations count="1">
    <dataValidation type="list" allowBlank="1" showInputMessage="1" showErrorMessage="1" sqref="D13:D29">
      <formula1>$D$34:$D$35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cp:lastPrinted>2010-12-13T19:39:14Z</cp:lastPrinted>
  <dcterms:created xsi:type="dcterms:W3CDTF">2010-03-17T04:07:38Z</dcterms:created>
  <dcterms:modified xsi:type="dcterms:W3CDTF">2010-12-13T21:08:22Z</dcterms:modified>
  <cp:category/>
  <cp:version/>
  <cp:contentType/>
  <cp:contentStatus/>
</cp:coreProperties>
</file>